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<sst xmlns="http://schemas.openxmlformats.org/spreadsheetml/2006/main" count="1600" uniqueCount="315">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</sst>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484111.3</v>
      </c>
      <c r="G8" s="18">
        <f aca="true" t="shared" si="0" ref="G8:G54">F8-E8</f>
        <v>-19414.170000000042</v>
      </c>
      <c r="H8" s="45">
        <f>F8/E8*100</f>
        <v>96.14435194311024</v>
      </c>
      <c r="I8" s="31">
        <f aca="true" t="shared" si="1" ref="I8:I54">F8-D8</f>
        <v>-88177.70000000001</v>
      </c>
      <c r="J8" s="31">
        <f aca="true" t="shared" si="2" ref="J8:J14">F8/D8*100</f>
        <v>84.5921029409966</v>
      </c>
      <c r="K8" s="18">
        <f>K9+K15+K18+K19+K20+K32</f>
        <v>82886.50799999999</v>
      </c>
      <c r="L8" s="18"/>
      <c r="M8" s="18">
        <f>M9+M15+M18+M19+M20+M32+M17</f>
        <v>44772.97000000001</v>
      </c>
      <c r="N8" s="18">
        <f>N9+N15+N18+N19+N20+N32+N17</f>
        <v>3232.050000000043</v>
      </c>
      <c r="O8" s="31">
        <f aca="true" t="shared" si="3" ref="O8:O54">N8-M8</f>
        <v>-41540.91999999997</v>
      </c>
      <c r="P8" s="31">
        <f>F8/M8*100</f>
        <v>1081.2579554137237</v>
      </c>
      <c r="Q8" s="31">
        <f>N8-33748.16</f>
        <v>-30516.10999999996</v>
      </c>
      <c r="R8" s="125">
        <f>N8/33748.16</f>
        <v>0.09576966566473676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266821.98</v>
      </c>
      <c r="G9" s="43">
        <f t="shared" si="0"/>
        <v>-3043.140000000014</v>
      </c>
      <c r="H9" s="35">
        <f aca="true" t="shared" si="4" ref="H9:H32">F9/E9*100</f>
        <v>98.87234778618296</v>
      </c>
      <c r="I9" s="50">
        <f t="shared" si="1"/>
        <v>-45868.02000000002</v>
      </c>
      <c r="J9" s="50">
        <f t="shared" si="2"/>
        <v>85.33115225942626</v>
      </c>
      <c r="K9" s="132">
        <f>F9-316022.19/75*60</f>
        <v>14004.227999999974</v>
      </c>
      <c r="L9" s="132">
        <f>F9/(316022.19/75*60)*100</f>
        <v>105.53925817677549</v>
      </c>
      <c r="M9" s="35">
        <f>E9-вересень!E9</f>
        <v>21250.570000000007</v>
      </c>
      <c r="N9" s="35">
        <f>F9-вересень!F9</f>
        <v>2446.570000000007</v>
      </c>
      <c r="O9" s="47">
        <f t="shared" si="3"/>
        <v>-18804</v>
      </c>
      <c r="P9" s="50">
        <f aca="true" t="shared" si="5" ref="P9:P32">N9/M9*100</f>
        <v>11.51296176996667</v>
      </c>
      <c r="Q9" s="132">
        <f>N9-26568.11</f>
        <v>-24121.539999999994</v>
      </c>
      <c r="R9" s="133">
        <f>N9/26568.11</f>
        <v>0.09208671599146522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236076.65</v>
      </c>
      <c r="G10" s="135">
        <f t="shared" si="0"/>
        <v>115.8299999999872</v>
      </c>
      <c r="H10" s="137">
        <f t="shared" si="4"/>
        <v>100.04908865802382</v>
      </c>
      <c r="I10" s="136">
        <f t="shared" si="1"/>
        <v>-4333.350000000006</v>
      </c>
      <c r="J10" s="136">
        <f t="shared" si="2"/>
        <v>98.19751674223201</v>
      </c>
      <c r="K10" s="138">
        <f>F10-281171.58/75*60</f>
        <v>11139.385999999999</v>
      </c>
      <c r="L10" s="138">
        <f>F10/(281171.58/75*60)*100</f>
        <v>104.95221903294778</v>
      </c>
      <c r="M10" s="137">
        <f>E10-вересень!E10</f>
        <v>17470.570000000007</v>
      </c>
      <c r="N10" s="137">
        <f>F10-вересень!F10</f>
        <v>2140.1699999999837</v>
      </c>
      <c r="O10" s="138">
        <f t="shared" si="3"/>
        <v>-15330.400000000023</v>
      </c>
      <c r="P10" s="136">
        <f t="shared" si="5"/>
        <v>12.250144099476907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14008.99</v>
      </c>
      <c r="G11" s="135">
        <f t="shared" si="0"/>
        <v>-4908.910000000002</v>
      </c>
      <c r="H11" s="137">
        <f t="shared" si="4"/>
        <v>74.05150677400768</v>
      </c>
      <c r="I11" s="136">
        <f t="shared" si="1"/>
        <v>-9691.01</v>
      </c>
      <c r="J11" s="136">
        <f t="shared" si="2"/>
        <v>59.109662447257385</v>
      </c>
      <c r="K11" s="138">
        <f>F11-21169.22/75*60</f>
        <v>-2926.386000000004</v>
      </c>
      <c r="L11" s="138">
        <f>F11/(21169.22/75*60)*100</f>
        <v>82.72027736496666</v>
      </c>
      <c r="M11" s="137">
        <f>E11-вересень!E11</f>
        <v>2130</v>
      </c>
      <c r="N11" s="137">
        <f>F11-вересень!F11</f>
        <v>6.299999999999272</v>
      </c>
      <c r="O11" s="138">
        <f t="shared" si="3"/>
        <v>-2123.7000000000007</v>
      </c>
      <c r="P11" s="136">
        <f t="shared" si="5"/>
        <v>0.2957746478872898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3811.23</v>
      </c>
      <c r="G12" s="135">
        <f t="shared" si="0"/>
        <v>-637.77</v>
      </c>
      <c r="H12" s="137">
        <f t="shared" si="4"/>
        <v>85.66486850977748</v>
      </c>
      <c r="I12" s="136">
        <f t="shared" si="1"/>
        <v>-1988.77</v>
      </c>
      <c r="J12" s="136">
        <f t="shared" si="2"/>
        <v>65.71086206896551</v>
      </c>
      <c r="K12" s="138">
        <f>F12-5687.46/75*60</f>
        <v>-738.7380000000007</v>
      </c>
      <c r="L12" s="138">
        <f>F12/(5687.46*60)*100</f>
        <v>1.1168518108259224</v>
      </c>
      <c r="M12" s="137">
        <f>E12-вересень!E12</f>
        <v>540</v>
      </c>
      <c r="N12" s="137">
        <f>F12-вересень!F12</f>
        <v>66.59000000000015</v>
      </c>
      <c r="O12" s="138">
        <f t="shared" si="3"/>
        <v>-473.40999999999985</v>
      </c>
      <c r="P12" s="136">
        <f t="shared" si="5"/>
        <v>12.331481481481509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5744.76</v>
      </c>
      <c r="G13" s="135">
        <f t="shared" si="0"/>
        <v>-1198.6399999999994</v>
      </c>
      <c r="H13" s="137">
        <f t="shared" si="4"/>
        <v>82.7369876429415</v>
      </c>
      <c r="I13" s="136">
        <f t="shared" si="1"/>
        <v>-2655.24</v>
      </c>
      <c r="J13" s="136">
        <f t="shared" si="2"/>
        <v>68.39</v>
      </c>
      <c r="K13" s="138">
        <f>F13-7878.81/75*60</f>
        <v>-558.2880000000005</v>
      </c>
      <c r="L13" s="138">
        <f>F13/(7878.81/75*60)*100</f>
        <v>91.14257102278135</v>
      </c>
      <c r="M13" s="137">
        <f>E13-вересень!E13</f>
        <v>720</v>
      </c>
      <c r="N13" s="137">
        <f>F13-вересень!F13</f>
        <v>14.520000000000437</v>
      </c>
      <c r="O13" s="138">
        <f t="shared" si="3"/>
        <v>-705.4799999999996</v>
      </c>
      <c r="P13" s="136">
        <f t="shared" si="5"/>
        <v>2.0166666666667274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7180.35</v>
      </c>
      <c r="G14" s="135">
        <f t="shared" si="0"/>
        <v>3586.3500000000004</v>
      </c>
      <c r="H14" s="137">
        <f t="shared" si="4"/>
        <v>199.78714524207012</v>
      </c>
      <c r="I14" s="136">
        <f t="shared" si="1"/>
        <v>2800.3500000000004</v>
      </c>
      <c r="J14" s="136">
        <f t="shared" si="2"/>
        <v>163.93493150684932</v>
      </c>
      <c r="K14" s="138">
        <f>F14-115.12/75*60</f>
        <v>7088.254000000001</v>
      </c>
      <c r="L14" s="138">
        <f>F14/(115.12/75*60)*100</f>
        <v>7796.5926858929815</v>
      </c>
      <c r="M14" s="137">
        <f>E14-вересень!E14</f>
        <v>390</v>
      </c>
      <c r="N14" s="137">
        <f>F14-вересень!F14</f>
        <v>218.9900000000007</v>
      </c>
      <c r="O14" s="138">
        <f t="shared" si="3"/>
        <v>-171.0099999999993</v>
      </c>
      <c r="P14" s="136">
        <f t="shared" si="5"/>
        <v>56.15128205128222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F15-(-880.89)</f>
        <v>214.19999999999993</v>
      </c>
      <c r="L15" s="53">
        <f>F15/(-880.89)*100</f>
        <v>75.68368354732146</v>
      </c>
      <c r="M15" s="35">
        <f>E15-вересень!E15</f>
        <v>0</v>
      </c>
      <c r="N15" s="35">
        <f>F15-вересень!F15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F16-(-381.9)</f>
        <v>-784.0200000000001</v>
      </c>
      <c r="L16" s="138">
        <f>F16/(-381.9)*100</f>
        <v>305.2945797329144</v>
      </c>
      <c r="M16" s="35">
        <f>E16-вересень!E16</f>
        <v>0</v>
      </c>
      <c r="N16" s="35">
        <f>F16-вересень!F16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F17-0.04</f>
        <v>0.049999999999999996</v>
      </c>
      <c r="L17" s="138"/>
      <c r="M17" s="35">
        <f>E17-вересень!E17</f>
        <v>0</v>
      </c>
      <c r="N17" s="35">
        <f>F17-вересень!F17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51473.07</v>
      </c>
      <c r="G19" s="43">
        <f t="shared" si="0"/>
        <v>-6049.68</v>
      </c>
      <c r="H19" s="35">
        <f t="shared" si="4"/>
        <v>89.4829784737343</v>
      </c>
      <c r="I19" s="50">
        <f t="shared" si="1"/>
        <v>-10736.93</v>
      </c>
      <c r="J19" s="178">
        <f>F19/D19*100</f>
        <v>82.74082944864169</v>
      </c>
      <c r="K19" s="179">
        <f>F19-0</f>
        <v>51473.07</v>
      </c>
      <c r="L19" s="180"/>
      <c r="M19" s="35">
        <f>E19-вересень!E19</f>
        <v>6800</v>
      </c>
      <c r="N19" s="35">
        <f>F19-вересень!F19</f>
        <v>4.19999999999709</v>
      </c>
      <c r="O19" s="47">
        <f t="shared" si="3"/>
        <v>-6795.800000000003</v>
      </c>
      <c r="P19" s="50">
        <f t="shared" si="5"/>
        <v>0.06176470588231014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160887.32000000004</v>
      </c>
      <c r="G20" s="43">
        <f t="shared" si="0"/>
        <v>-9306.579999999958</v>
      </c>
      <c r="H20" s="35">
        <f t="shared" si="4"/>
        <v>94.53177816596249</v>
      </c>
      <c r="I20" s="50">
        <f t="shared" si="1"/>
        <v>-28982.679999999964</v>
      </c>
      <c r="J20" s="178">
        <f aca="true" t="shared" si="6" ref="J20:J46">F20/D20*100</f>
        <v>84.73551377258126</v>
      </c>
      <c r="K20" s="178">
        <f>K21+K25+K26+K27</f>
        <v>18981.750000000007</v>
      </c>
      <c r="L20" s="136"/>
      <c r="M20" s="35">
        <f>E20-вересень!E20</f>
        <v>16715.5</v>
      </c>
      <c r="N20" s="35">
        <f>F20-вересень!F20</f>
        <v>780.7300000000396</v>
      </c>
      <c r="O20" s="47">
        <f t="shared" si="3"/>
        <v>-15934.76999999996</v>
      </c>
      <c r="P20" s="50">
        <f t="shared" si="5"/>
        <v>4.670694864048575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89183.6</v>
      </c>
      <c r="G21" s="43">
        <f t="shared" si="0"/>
        <v>-7098.799999999988</v>
      </c>
      <c r="H21" s="35">
        <f t="shared" si="4"/>
        <v>92.62710526534445</v>
      </c>
      <c r="I21" s="50">
        <f t="shared" si="1"/>
        <v>-21116.399999999994</v>
      </c>
      <c r="J21" s="178">
        <f t="shared" si="6"/>
        <v>80.85548504079783</v>
      </c>
      <c r="K21" s="178">
        <f>K22+K23+K24</f>
        <v>20479.760000000002</v>
      </c>
      <c r="L21" s="136"/>
      <c r="M21" s="35">
        <f>E21-вересень!E21</f>
        <v>10382</v>
      </c>
      <c r="N21" s="35">
        <f>F21-вересень!F21</f>
        <v>204.2800000000134</v>
      </c>
      <c r="O21" s="47">
        <f t="shared" si="3"/>
        <v>-10177.719999999987</v>
      </c>
      <c r="P21" s="50">
        <f t="shared" si="5"/>
        <v>1.96763629358518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9176.94</v>
      </c>
      <c r="G22" s="135">
        <f t="shared" si="0"/>
        <v>-1468.4599999999991</v>
      </c>
      <c r="H22" s="137">
        <f t="shared" si="4"/>
        <v>86.20568508463751</v>
      </c>
      <c r="I22" s="136">
        <f t="shared" si="1"/>
        <v>-1523.0599999999995</v>
      </c>
      <c r="J22" s="136">
        <f t="shared" si="6"/>
        <v>85.76579439252336</v>
      </c>
      <c r="K22" s="136">
        <f>F22-437</f>
        <v>8739.94</v>
      </c>
      <c r="L22" s="136">
        <f>F22/437*100</f>
        <v>2099.9862700228837</v>
      </c>
      <c r="M22" s="137">
        <f>E22-вересень!E22</f>
        <v>1851</v>
      </c>
      <c r="N22" s="137">
        <f>F22-вересень!F22</f>
        <v>45.26000000000022</v>
      </c>
      <c r="O22" s="138">
        <f t="shared" si="3"/>
        <v>-1805.7399999999998</v>
      </c>
      <c r="P22" s="136">
        <f t="shared" si="5"/>
        <v>2.4451647757968784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3336.16</v>
      </c>
      <c r="G23" s="135">
        <f t="shared" si="0"/>
        <v>1244.1599999999999</v>
      </c>
      <c r="H23" s="137">
        <f t="shared" si="4"/>
        <v>159.472275334608</v>
      </c>
      <c r="I23" s="136">
        <f t="shared" si="1"/>
        <v>1236.1599999999999</v>
      </c>
      <c r="J23" s="136">
        <f t="shared" si="6"/>
        <v>158.8647619047619</v>
      </c>
      <c r="K23" s="136">
        <f>F23-0</f>
        <v>3336.16</v>
      </c>
      <c r="L23" s="136"/>
      <c r="M23" s="137">
        <f>E23-вересень!E23</f>
        <v>305</v>
      </c>
      <c r="N23" s="137">
        <f>F23-вересень!F23</f>
        <v>2.5299999999997453</v>
      </c>
      <c r="O23" s="138">
        <f t="shared" si="3"/>
        <v>-302.47000000000025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76670.5</v>
      </c>
      <c r="G24" s="135">
        <f t="shared" si="0"/>
        <v>-6874.5</v>
      </c>
      <c r="H24" s="137">
        <f t="shared" si="4"/>
        <v>91.7715003890119</v>
      </c>
      <c r="I24" s="136">
        <f t="shared" si="1"/>
        <v>-20829.5</v>
      </c>
      <c r="J24" s="136">
        <f t="shared" si="6"/>
        <v>78.63641025641026</v>
      </c>
      <c r="K24" s="224">
        <f>F24-68266.84</f>
        <v>8403.660000000003</v>
      </c>
      <c r="L24" s="224">
        <f>F24/68266.84*100</f>
        <v>112.31001757222101</v>
      </c>
      <c r="M24" s="137">
        <f>E24-вересень!E24</f>
        <v>8226</v>
      </c>
      <c r="N24" s="137">
        <f>F24-вересень!F24</f>
        <v>156.49000000000524</v>
      </c>
      <c r="O24" s="138">
        <f t="shared" si="3"/>
        <v>-8069.509999999995</v>
      </c>
      <c r="P24" s="136">
        <f t="shared" si="5"/>
        <v>1.9023826890348317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-706.96</v>
      </c>
      <c r="G26" s="43">
        <f t="shared" si="0"/>
        <v>-706.96</v>
      </c>
      <c r="H26" s="35"/>
      <c r="I26" s="50">
        <f t="shared" si="1"/>
        <v>-706.96</v>
      </c>
      <c r="J26" s="136"/>
      <c r="K26" s="178">
        <f>F26-5295.66</f>
        <v>-6002.62</v>
      </c>
      <c r="L26" s="178">
        <f>F26/5295.66*100</f>
        <v>-13.349799647258322</v>
      </c>
      <c r="M26" s="35">
        <f>E26-вересень!E26</f>
        <v>0</v>
      </c>
      <c r="N26" s="35">
        <f>F26-вересень!F26</f>
        <v>-0.9800000000000182</v>
      </c>
      <c r="O26" s="47">
        <f t="shared" si="3"/>
        <v>-0.9800000000000182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72354.83</v>
      </c>
      <c r="G27" s="43">
        <f t="shared" si="0"/>
        <v>-1505.1699999999983</v>
      </c>
      <c r="H27" s="35">
        <f t="shared" si="4"/>
        <v>97.96213105875981</v>
      </c>
      <c r="I27" s="50">
        <f t="shared" si="1"/>
        <v>-7145.169999999998</v>
      </c>
      <c r="J27" s="178">
        <f t="shared" si="6"/>
        <v>91.0123647798742</v>
      </c>
      <c r="K27" s="132">
        <f>F27-67857.28</f>
        <v>4497.550000000003</v>
      </c>
      <c r="L27" s="132">
        <f>F27/67857.28*100</f>
        <v>106.6279550256067</v>
      </c>
      <c r="M27" s="35">
        <f>E27-вересень!E27</f>
        <v>6323.5</v>
      </c>
      <c r="N27" s="35">
        <f>F27-вересень!F27</f>
        <v>577.4300000000076</v>
      </c>
      <c r="O27" s="47">
        <f t="shared" si="3"/>
        <v>-5746.069999999992</v>
      </c>
      <c r="P27" s="50">
        <f t="shared" si="5"/>
        <v>9.131493634854234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17812.39</v>
      </c>
      <c r="G29" s="135">
        <f t="shared" si="0"/>
        <v>-267.6100000000006</v>
      </c>
      <c r="H29" s="137">
        <f t="shared" si="4"/>
        <v>98.51985619469026</v>
      </c>
      <c r="I29" s="136">
        <f t="shared" si="1"/>
        <v>-1387.6100000000006</v>
      </c>
      <c r="J29" s="136">
        <f t="shared" si="6"/>
        <v>92.77286458333333</v>
      </c>
      <c r="K29" s="139">
        <f>F29-18415.97</f>
        <v>-603.5800000000017</v>
      </c>
      <c r="L29" s="139">
        <f>F29/18415.97*100</f>
        <v>96.72251855319051</v>
      </c>
      <c r="M29" s="137">
        <f>E29-вересень!E29</f>
        <v>1300</v>
      </c>
      <c r="N29" s="137">
        <f>F29-вересень!F29</f>
        <v>72.63000000000102</v>
      </c>
      <c r="O29" s="138">
        <f t="shared" si="3"/>
        <v>-1227.369999999999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54520.77</v>
      </c>
      <c r="G30" s="135">
        <f t="shared" si="0"/>
        <v>-1259.2300000000032</v>
      </c>
      <c r="H30" s="137">
        <f t="shared" si="4"/>
        <v>97.74250627465041</v>
      </c>
      <c r="I30" s="136">
        <f t="shared" si="1"/>
        <v>-5779.230000000003</v>
      </c>
      <c r="J30" s="136">
        <f t="shared" si="6"/>
        <v>90.41587064676617</v>
      </c>
      <c r="K30" s="139">
        <f>F30-49440.11</f>
        <v>5080.659999999996</v>
      </c>
      <c r="L30" s="139">
        <f>F30/49440.11*100</f>
        <v>110.2763929934622</v>
      </c>
      <c r="M30" s="137">
        <f>E30-вересень!E30</f>
        <v>5023.5</v>
      </c>
      <c r="N30" s="137">
        <f>F30-вересень!F30</f>
        <v>504.79999999999563</v>
      </c>
      <c r="O30" s="138">
        <f t="shared" si="3"/>
        <v>-4518.700000000004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5579.73</v>
      </c>
      <c r="G32" s="43">
        <f t="shared" si="0"/>
        <v>-179.57000000000062</v>
      </c>
      <c r="H32" s="35">
        <f t="shared" si="4"/>
        <v>96.88208636466236</v>
      </c>
      <c r="I32" s="50">
        <f t="shared" si="1"/>
        <v>-1920.2700000000004</v>
      </c>
      <c r="J32" s="178">
        <f t="shared" si="6"/>
        <v>74.3964</v>
      </c>
      <c r="K32" s="178">
        <f>F32-7378.96</f>
        <v>-1799.2300000000005</v>
      </c>
      <c r="L32" s="178">
        <f>F32/7378.96*100</f>
        <v>75.61675358045036</v>
      </c>
      <c r="M32" s="35">
        <f>E32-вересень!E32</f>
        <v>6.900000000000546</v>
      </c>
      <c r="N32" s="35">
        <f>F32-вересень!F32</f>
        <v>0.5499999999992724</v>
      </c>
      <c r="O32" s="47">
        <f t="shared" si="3"/>
        <v>-6.350000000001273</v>
      </c>
      <c r="P32" s="50">
        <f t="shared" si="5"/>
        <v>7.971014492742448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33410.9</v>
      </c>
      <c r="G33" s="44">
        <f t="shared" si="0"/>
        <v>860.630000000001</v>
      </c>
      <c r="H33" s="45">
        <f aca="true" t="shared" si="7" ref="H33:H38">F33/E33*100</f>
        <v>102.6440026457538</v>
      </c>
      <c r="I33" s="31">
        <f t="shared" si="1"/>
        <v>-2228.6699999999983</v>
      </c>
      <c r="J33" s="31">
        <f t="shared" si="6"/>
        <v>93.74664172435303</v>
      </c>
      <c r="K33" s="18">
        <f>K34+K35+K36+K37+K38+K41+K42+K47+K48+K52+K40</f>
        <v>22622.730000000003</v>
      </c>
      <c r="L33" s="18"/>
      <c r="M33" s="18">
        <f>M34+M35+M36+M37+M38+M41+M42+M47+M48+M52+M40+M39</f>
        <v>5900.27</v>
      </c>
      <c r="N33" s="18">
        <f>N34+N35+N36+N37+N38+N41+N42+N47+N48+N52+N40+N39</f>
        <v>5166.270000000001</v>
      </c>
      <c r="O33" s="49">
        <f t="shared" si="3"/>
        <v>-733.9999999999991</v>
      </c>
      <c r="P33" s="31">
        <f>N33/M33*100</f>
        <v>87.5598913270071</v>
      </c>
      <c r="Q33" s="31">
        <f>N33-1017.63</f>
        <v>4148.640000000001</v>
      </c>
      <c r="R33" s="127">
        <f>N33/1017.63</f>
        <v>5.076766604758116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324.03</v>
      </c>
      <c r="G36" s="43">
        <f t="shared" si="0"/>
        <v>84.02999999999997</v>
      </c>
      <c r="H36" s="35">
        <f t="shared" si="7"/>
        <v>135.0125</v>
      </c>
      <c r="I36" s="50">
        <f t="shared" si="1"/>
        <v>84.02999999999997</v>
      </c>
      <c r="J36" s="50"/>
      <c r="K36" s="50">
        <f>F36-279.6</f>
        <v>44.42999999999995</v>
      </c>
      <c r="L36" s="50">
        <f>F36/279.6*100</f>
        <v>115.89055793991415</v>
      </c>
      <c r="M36" s="35">
        <f>E36-вересень!E36</f>
        <v>0</v>
      </c>
      <c r="N36" s="35">
        <f>F36-вересень!F36</f>
        <v>2.0499999999999545</v>
      </c>
      <c r="O36" s="47">
        <f t="shared" si="3"/>
        <v>2.0499999999999545</v>
      </c>
      <c r="P36" s="50"/>
      <c r="Q36" s="50">
        <f>N36-4.23</f>
        <v>-2.180000000000046</v>
      </c>
      <c r="R36" s="126">
        <f>N36/4.23</f>
        <v>0.4846335697399419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117.45</v>
      </c>
      <c r="G38" s="43">
        <f t="shared" si="0"/>
        <v>-2.549999999999997</v>
      </c>
      <c r="H38" s="35">
        <f t="shared" si="7"/>
        <v>97.875</v>
      </c>
      <c r="I38" s="50">
        <f t="shared" si="1"/>
        <v>-22.549999999999997</v>
      </c>
      <c r="J38" s="50">
        <f t="shared" si="6"/>
        <v>83.89285714285715</v>
      </c>
      <c r="K38" s="50">
        <f>F38-112.45</f>
        <v>5</v>
      </c>
      <c r="L38" s="50">
        <f>F38/112.45*100</f>
        <v>104.44642063139173</v>
      </c>
      <c r="M38" s="35">
        <f>E38-вересень!E38</f>
        <v>15</v>
      </c>
      <c r="N38" s="35">
        <f>F38-вересень!F38</f>
        <v>0.3400000000000034</v>
      </c>
      <c r="O38" s="47">
        <f t="shared" si="3"/>
        <v>-14.659999999999997</v>
      </c>
      <c r="P38" s="50">
        <f>N38/M38*100</f>
        <v>2.2666666666666893</v>
      </c>
      <c r="Q38" s="50">
        <f>N38-9.02</f>
        <v>-8.679999999999996</v>
      </c>
      <c r="R38" s="126">
        <f>N38/9.02</f>
        <v>0.03769401330376978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7698.02</v>
      </c>
      <c r="G40" s="43">
        <f t="shared" si="0"/>
        <v>-1138.9799999999996</v>
      </c>
      <c r="H40" s="35">
        <f aca="true" t="shared" si="8" ref="H40:H46">F40/E40*100</f>
        <v>87.11123684508317</v>
      </c>
      <c r="I40" s="50">
        <f t="shared" si="1"/>
        <v>-1301.9799999999996</v>
      </c>
      <c r="J40" s="50"/>
      <c r="K40" s="50">
        <f>F40-0</f>
        <v>7698.02</v>
      </c>
      <c r="L40" s="50"/>
      <c r="M40" s="35">
        <f>E40-вересень!E40</f>
        <v>900</v>
      </c>
      <c r="N40" s="35">
        <f>F40-вересень!F40</f>
        <v>92.5600000000004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5790.51</v>
      </c>
      <c r="G42" s="43">
        <f t="shared" si="0"/>
        <v>-600.79</v>
      </c>
      <c r="H42" s="35">
        <f t="shared" si="8"/>
        <v>90.59987795910065</v>
      </c>
      <c r="I42" s="50">
        <f t="shared" si="1"/>
        <v>-1309.4899999999998</v>
      </c>
      <c r="J42" s="50">
        <f t="shared" si="6"/>
        <v>81.55647887323944</v>
      </c>
      <c r="K42" s="50">
        <f>F42-865.17</f>
        <v>4925.34</v>
      </c>
      <c r="L42" s="50">
        <f>F42/865.17*100</f>
        <v>669.2915843129097</v>
      </c>
      <c r="M42" s="35">
        <f>E42-вересень!E42</f>
        <v>592.3000000000002</v>
      </c>
      <c r="N42" s="35">
        <f>F42-вересень!F42</f>
        <v>68.5600000000004</v>
      </c>
      <c r="O42" s="47">
        <f t="shared" si="3"/>
        <v>-523.7399999999998</v>
      </c>
      <c r="P42" s="50">
        <f>N42/M42*100</f>
        <v>11.575215262535941</v>
      </c>
      <c r="Q42" s="50">
        <f>N42-79.51</f>
        <v>-10.949999999999605</v>
      </c>
      <c r="R42" s="126">
        <f>N42/79.51</f>
        <v>0.862281474028429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811.53</v>
      </c>
      <c r="G43" s="135">
        <f t="shared" si="0"/>
        <v>-98.47000000000003</v>
      </c>
      <c r="H43" s="35">
        <f t="shared" si="8"/>
        <v>89.17912087912087</v>
      </c>
      <c r="I43" s="136">
        <f t="shared" si="1"/>
        <v>-288.47</v>
      </c>
      <c r="J43" s="136">
        <f t="shared" si="6"/>
        <v>73.77545454545455</v>
      </c>
      <c r="K43" s="136">
        <f>F43-757.36</f>
        <v>54.16999999999996</v>
      </c>
      <c r="L43" s="136">
        <f>F43/757.36*100</f>
        <v>107.15247702545685</v>
      </c>
      <c r="M43" s="137">
        <f>E43-вересень!E43</f>
        <v>70</v>
      </c>
      <c r="N43" s="137">
        <f>F43-вересень!F43</f>
        <v>9.68999999999994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4934.16</v>
      </c>
      <c r="G46" s="135">
        <f t="shared" si="0"/>
        <v>-475.84000000000015</v>
      </c>
      <c r="H46" s="35">
        <f t="shared" si="8"/>
        <v>91.20443622920517</v>
      </c>
      <c r="I46" s="136">
        <f t="shared" si="1"/>
        <v>-983.8400000000001</v>
      </c>
      <c r="J46" s="136">
        <f t="shared" si="6"/>
        <v>83.37546468401487</v>
      </c>
      <c r="K46" s="136">
        <f>F46-107.81</f>
        <v>4826.349999999999</v>
      </c>
      <c r="L46" s="136">
        <f>F46/107.81*100</f>
        <v>4576.718300714219</v>
      </c>
      <c r="M46" s="137">
        <f>E46-вересень!E46</f>
        <v>512</v>
      </c>
      <c r="N46" s="137">
        <f>F46-вересень!F46</f>
        <v>58.86999999999989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3585.56</v>
      </c>
      <c r="G48" s="43">
        <f t="shared" si="0"/>
        <v>135.55999999999995</v>
      </c>
      <c r="H48" s="35">
        <f>F48/E48*100</f>
        <v>103.92927536231883</v>
      </c>
      <c r="I48" s="50">
        <f t="shared" si="1"/>
        <v>-614.44</v>
      </c>
      <c r="J48" s="50">
        <f>F48/D48*100</f>
        <v>85.37047619047618</v>
      </c>
      <c r="K48" s="50">
        <f>F48-3446.94</f>
        <v>138.6199999999999</v>
      </c>
      <c r="L48" s="50">
        <f>F48/3446.94*100</f>
        <v>104.02153794379943</v>
      </c>
      <c r="M48" s="35">
        <f>E48-вересень!E48</f>
        <v>360</v>
      </c>
      <c r="N48" s="35">
        <f>F48-вересень!F48</f>
        <v>14.110000000000127</v>
      </c>
      <c r="O48" s="47">
        <f t="shared" si="3"/>
        <v>-345.8899999999999</v>
      </c>
      <c r="P48" s="50">
        <f aca="true" t="shared" si="9" ref="P48:P53">N48/M48*100</f>
        <v>3.9194444444444794</v>
      </c>
      <c r="Q48" s="50">
        <f>N48-277.38</f>
        <v>-263.26999999999987</v>
      </c>
      <c r="R48" s="126">
        <f>N48/277.38</f>
        <v>0.050868844184873196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983.8</v>
      </c>
      <c r="G51" s="135">
        <f t="shared" si="0"/>
        <v>983.8</v>
      </c>
      <c r="H51" s="137"/>
      <c r="I51" s="136">
        <f t="shared" si="1"/>
        <v>983.8</v>
      </c>
      <c r="J51" s="136"/>
      <c r="K51" s="219">
        <f>F51-838.39</f>
        <v>145.40999999999997</v>
      </c>
      <c r="L51" s="219">
        <f>F51/838.39*100</f>
        <v>117.34395686971457</v>
      </c>
      <c r="M51" s="35">
        <f>E51-вересень!E51</f>
        <v>0</v>
      </c>
      <c r="N51" s="35">
        <f>F51-вересень!F51</f>
        <v>4.599999999999909</v>
      </c>
      <c r="O51" s="138">
        <f t="shared" si="3"/>
        <v>4.599999999999909</v>
      </c>
      <c r="P51" s="136"/>
      <c r="Q51" s="50">
        <f>N51-64.93</f>
        <v>-60.3300000000001</v>
      </c>
      <c r="R51" s="126">
        <f>N51/64.93</f>
        <v>0.07084552595102277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517540.93</v>
      </c>
      <c r="G55" s="44">
        <f>F55-E55</f>
        <v>-18556.409999999974</v>
      </c>
      <c r="H55" s="45">
        <f>F55/E55*100</f>
        <v>96.53861181254882</v>
      </c>
      <c r="I55" s="31">
        <f>F55-D55</f>
        <v>-90414.13999999996</v>
      </c>
      <c r="J55" s="31">
        <f>F55/D55*100</f>
        <v>85.12815428942801</v>
      </c>
      <c r="K55" s="31">
        <f>K8+K33+K53+K54</f>
        <v>105505.88799999999</v>
      </c>
      <c r="L55" s="31">
        <f>F55/(F55-K55)*100</f>
        <v>125.60604736137952</v>
      </c>
      <c r="M55" s="18">
        <f>M8+M33+M53+M54</f>
        <v>50675.44</v>
      </c>
      <c r="N55" s="18">
        <f>N8+N33+N53+N54</f>
        <v>8402.320000000043</v>
      </c>
      <c r="O55" s="49">
        <f>N55-M55</f>
        <v>-42273.11999999996</v>
      </c>
      <c r="P55" s="31">
        <f>N55/M55*100</f>
        <v>16.580655244434077</v>
      </c>
      <c r="Q55" s="31">
        <f>N55-34768</f>
        <v>-26365.679999999957</v>
      </c>
      <c r="R55" s="171">
        <f>N55/34768</f>
        <v>0.24166820064427183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F61-263.25</f>
        <v>-314.95</v>
      </c>
      <c r="L61" s="53"/>
      <c r="M61" s="35">
        <v>0</v>
      </c>
      <c r="N61" s="36">
        <f>F61-вересень!F61</f>
        <v>0</v>
      </c>
      <c r="O61" s="47">
        <f aca="true" t="shared" si="12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-314.95</v>
      </c>
      <c r="L62" s="54"/>
      <c r="M62" s="55">
        <f>M61</f>
        <v>0</v>
      </c>
      <c r="N62" s="33">
        <f>SUM(N60:N61)</f>
        <v>0</v>
      </c>
      <c r="O62" s="54">
        <f t="shared" si="12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F64-1754.79</f>
        <v>-1161.69</v>
      </c>
      <c r="L64" s="53">
        <f>F64/1754.79*100</f>
        <v>33.79891610961996</v>
      </c>
      <c r="M64" s="35">
        <f>E64-вересень!E64</f>
        <v>0</v>
      </c>
      <c r="N64" s="35">
        <f>F64-вересень!F64</f>
        <v>0</v>
      </c>
      <c r="O64" s="47">
        <f t="shared" si="12"/>
        <v>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3987.63</v>
      </c>
      <c r="G65" s="43">
        <f t="shared" si="10"/>
        <v>-2748.3499999999995</v>
      </c>
      <c r="H65" s="35">
        <f>F65/E65*100</f>
        <v>59.19895842921149</v>
      </c>
      <c r="I65" s="53">
        <f t="shared" si="11"/>
        <v>-7588.37</v>
      </c>
      <c r="J65" s="53">
        <f t="shared" si="13"/>
        <v>34.447391154111955</v>
      </c>
      <c r="K65" s="53">
        <f>F65-2762.1</f>
        <v>1225.5300000000002</v>
      </c>
      <c r="L65" s="53">
        <f>F65/2762.1*100</f>
        <v>144.36950146627566</v>
      </c>
      <c r="M65" s="35">
        <f>E65-вересень!E65</f>
        <v>1273.8199999999997</v>
      </c>
      <c r="N65" s="35">
        <f>F65-вересень!F65</f>
        <v>0</v>
      </c>
      <c r="O65" s="47">
        <f t="shared" si="12"/>
        <v>-1273.8199999999997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1859.08</v>
      </c>
      <c r="G66" s="43">
        <f t="shared" si="10"/>
        <v>526.1799999999998</v>
      </c>
      <c r="H66" s="35">
        <f>F66/E66*100</f>
        <v>139.4763298071873</v>
      </c>
      <c r="I66" s="53">
        <f t="shared" si="11"/>
        <v>-1140.92</v>
      </c>
      <c r="J66" s="53">
        <f t="shared" si="13"/>
        <v>61.96933333333333</v>
      </c>
      <c r="K66" s="53">
        <f>F66-1134.02</f>
        <v>725.06</v>
      </c>
      <c r="L66" s="53">
        <f>F66/1134.02*100</f>
        <v>163.93714396571488</v>
      </c>
      <c r="M66" s="35">
        <f>E66-вересень!E66</f>
        <v>148.10000000000014</v>
      </c>
      <c r="N66" s="35">
        <f>F66-вересень!F66</f>
        <v>0</v>
      </c>
      <c r="O66" s="47">
        <f t="shared" si="12"/>
        <v>-148.10000000000014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6439.81</v>
      </c>
      <c r="G67" s="55">
        <f t="shared" si="10"/>
        <v>-3229.069999999999</v>
      </c>
      <c r="H67" s="65">
        <f>F67/E67*100</f>
        <v>66.60347423900184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788.9000000000001</v>
      </c>
      <c r="L67" s="54"/>
      <c r="M67" s="55">
        <f>M64+M65+M66</f>
        <v>1421.9199999999998</v>
      </c>
      <c r="N67" s="55">
        <f>N64+N65+N66</f>
        <v>0</v>
      </c>
      <c r="O67" s="54">
        <f t="shared" si="12"/>
        <v>-1421.9199999999998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29.22</v>
      </c>
      <c r="G72" s="43">
        <f>F72-E72</f>
        <v>-4.200000000000003</v>
      </c>
      <c r="H72" s="35">
        <f>F72/E72*100</f>
        <v>87.4326750448833</v>
      </c>
      <c r="I72" s="53">
        <f>F72-D72</f>
        <v>-12.780000000000001</v>
      </c>
      <c r="J72" s="53">
        <f>F72/D72*100</f>
        <v>69.57142857142857</v>
      </c>
      <c r="K72" s="53">
        <f>F72-33.03</f>
        <v>-3.8100000000000023</v>
      </c>
      <c r="L72" s="53">
        <f>F72/33.03*100</f>
        <v>88.46503178928246</v>
      </c>
      <c r="M72" s="35">
        <f>E72-вересень!E72</f>
        <v>1.2000000000000028</v>
      </c>
      <c r="N72" s="35">
        <f>F72-вересень!F72</f>
        <v>0</v>
      </c>
      <c r="O72" s="47">
        <f>N72-M72</f>
        <v>-1.2000000000000028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6418.880000000001</v>
      </c>
      <c r="G74" s="44">
        <f>F74-E74</f>
        <v>-3332.4199999999983</v>
      </c>
      <c r="H74" s="45">
        <f>F74/E74*100</f>
        <v>65.82588988134917</v>
      </c>
      <c r="I74" s="31">
        <f>F74-D74</f>
        <v>-10753.119999999999</v>
      </c>
      <c r="J74" s="31">
        <f>F74/D74*100</f>
        <v>37.37992080130446</v>
      </c>
      <c r="K74" s="31">
        <f>K62+K67+K71+K72</f>
        <v>415.7100000000001</v>
      </c>
      <c r="L74" s="31"/>
      <c r="M74" s="27">
        <f>M62+M72+M67+M71</f>
        <v>1435.12</v>
      </c>
      <c r="N74" s="27">
        <f>N62+N72+N67+N71+N73</f>
        <v>0</v>
      </c>
      <c r="O74" s="31">
        <f>N74-M74</f>
        <v>-1435.12</v>
      </c>
      <c r="P74" s="31">
        <f>N74/M74*100</f>
        <v>0</v>
      </c>
      <c r="Q74" s="31">
        <f>N74-8104.96</f>
        <v>-8104.96</v>
      </c>
      <c r="R74" s="127">
        <f>N74/8104.96</f>
        <v>0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523959.81</v>
      </c>
      <c r="G75" s="44">
        <f>F75-E75</f>
        <v>-21888.830000000016</v>
      </c>
      <c r="H75" s="45">
        <f>F75/E75*100</f>
        <v>95.98994512471442</v>
      </c>
      <c r="I75" s="31">
        <f>F75-D75</f>
        <v>-101167.25999999995</v>
      </c>
      <c r="J75" s="31">
        <f>F75/D75*100</f>
        <v>83.81652869391819</v>
      </c>
      <c r="K75" s="31">
        <f>K55+K74</f>
        <v>105921.598</v>
      </c>
      <c r="L75" s="31">
        <f>F75/(F75-K75)*100</f>
        <v>125.33777893012325</v>
      </c>
      <c r="M75" s="18">
        <f>M55+M74</f>
        <v>52110.560000000005</v>
      </c>
      <c r="N75" s="18">
        <f>N55+N74</f>
        <v>8402.320000000043</v>
      </c>
      <c r="O75" s="31">
        <f>N75-M75</f>
        <v>-43708.23999999996</v>
      </c>
      <c r="P75" s="31">
        <f>N75/M75*100</f>
        <v>16.124025533404442</v>
      </c>
      <c r="Q75" s="31">
        <f>N75-42872.96</f>
        <v>-34470.639999999956</v>
      </c>
      <c r="R75" s="127">
        <f>N75/42872.96</f>
        <v>0.19598180298258025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18</v>
      </c>
      <c r="D77" s="4" t="s">
        <v>118</v>
      </c>
    </row>
    <row r="78" spans="2:17" ht="31.5">
      <c r="B78" s="71" t="s">
        <v>154</v>
      </c>
      <c r="C78" s="34">
        <f>IF(O55&lt;0,ABS(O55/C77),0)</f>
        <v>2348.5066666666644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42282</v>
      </c>
      <c r="D79" s="34">
        <v>1829.2</v>
      </c>
      <c r="G79" s="4" t="s">
        <v>166</v>
      </c>
      <c r="N79" s="236"/>
      <c r="O79" s="236"/>
    </row>
    <row r="80" spans="3:15" ht="15.75">
      <c r="C80" s="111">
        <v>42279</v>
      </c>
      <c r="D80" s="34">
        <v>1663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42278</v>
      </c>
      <c r="D81" s="34">
        <v>4910.1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3567.0022599999998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9" sqref="G1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88.60000000000002</v>
      </c>
      <c r="O51" s="138">
        <f t="shared" si="3"/>
        <v>88.60000000000002</v>
      </c>
      <c r="P51" s="136"/>
      <c r="Q51" s="50">
        <f>N51-64.93</f>
        <v>23.670000000000016</v>
      </c>
      <c r="R51" s="126">
        <f>N51/64.93</f>
        <v>1.3645464346219007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0" sqref="F2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2015-10-06T07:14:55Z</cp:lastPrinted>
  <dcterms:created xsi:type="dcterms:W3CDTF">2003-07-28T11:27:56Z</dcterms:created>
  <dcterms:modified xsi:type="dcterms:W3CDTF">2015-10-06T07:24:02Z</dcterms:modified>
  <cp:category/>
  <cp:version/>
  <cp:contentType/>
  <cp:contentStatus/>
</cp:coreProperties>
</file>